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ciana\"/>
    </mc:Choice>
  </mc:AlternateContent>
  <bookViews>
    <workbookView xWindow="0" yWindow="0" windowWidth="20400" windowHeight="7755"/>
  </bookViews>
  <sheets>
    <sheet name="2-1 Balanço" sheetId="1" r:id="rId1"/>
  </sheets>
  <definedNames>
    <definedName name="_xlnm.Print_Area" localSheetId="0">'2-1 Balanço'!$A$1:$P$46</definedName>
  </definedNames>
  <calcPr calcId="152511"/>
</workbook>
</file>

<file path=xl/calcChain.xml><?xml version="1.0" encoding="utf-8"?>
<calcChain xmlns="http://schemas.openxmlformats.org/spreadsheetml/2006/main">
  <c r="N16" i="1" l="1"/>
  <c r="N27" i="1"/>
  <c r="N26" i="1"/>
  <c r="N23" i="1"/>
  <c r="N22" i="1"/>
  <c r="N21" i="1"/>
  <c r="N13" i="1"/>
  <c r="N12" i="1"/>
  <c r="N11" i="1"/>
  <c r="E29" i="1"/>
  <c r="E28" i="1"/>
  <c r="E25" i="1"/>
  <c r="E24" i="1"/>
  <c r="E23" i="1"/>
  <c r="E21" i="1"/>
  <c r="E16" i="1"/>
  <c r="E15" i="1"/>
  <c r="E14" i="1"/>
  <c r="E13" i="1"/>
  <c r="E11" i="1"/>
  <c r="E10" i="1"/>
  <c r="E12" i="1" l="1"/>
  <c r="P27" i="1"/>
  <c r="P25" i="1" s="1"/>
  <c r="P26" i="1"/>
  <c r="P23" i="1"/>
  <c r="P22" i="1"/>
  <c r="P20" i="1" s="1"/>
  <c r="P19" i="1" s="1"/>
  <c r="P21" i="1"/>
  <c r="P17" i="1"/>
  <c r="P16" i="1"/>
  <c r="P15" i="1" s="1"/>
  <c r="P13" i="1"/>
  <c r="P12" i="1"/>
  <c r="P11" i="1"/>
  <c r="P10" i="1" s="1"/>
  <c r="G29" i="1"/>
  <c r="G28" i="1"/>
  <c r="G27" i="1" s="1"/>
  <c r="G25" i="1"/>
  <c r="G24" i="1"/>
  <c r="G23" i="1"/>
  <c r="G21" i="1"/>
  <c r="G16" i="1"/>
  <c r="G15" i="1"/>
  <c r="G14" i="1"/>
  <c r="G13" i="1"/>
  <c r="G12" i="1" s="1"/>
  <c r="G11" i="1"/>
  <c r="G10" i="1"/>
  <c r="P9" i="1" l="1"/>
  <c r="P32" i="1" s="1"/>
  <c r="G22" i="1"/>
  <c r="G20" i="1" s="1"/>
  <c r="G18" i="1" s="1"/>
  <c r="G32" i="1" s="1"/>
  <c r="G9" i="1"/>
  <c r="E22" i="1"/>
  <c r="N10" i="1" l="1"/>
  <c r="N15" i="1"/>
  <c r="O15" i="1"/>
  <c r="M16" i="1"/>
  <c r="M15" i="1" s="1"/>
  <c r="N20" i="1"/>
  <c r="N19" i="1" s="1"/>
  <c r="N25" i="1"/>
  <c r="O9" i="1"/>
  <c r="M9" i="1"/>
  <c r="N9" i="1" l="1"/>
  <c r="N32" i="1" s="1"/>
  <c r="E27" i="1"/>
  <c r="E20" i="1"/>
  <c r="E9" i="1"/>
  <c r="E18" i="1" l="1"/>
  <c r="E32" i="1" s="1"/>
</calcChain>
</file>

<file path=xl/sharedStrings.xml><?xml version="1.0" encoding="utf-8"?>
<sst xmlns="http://schemas.openxmlformats.org/spreadsheetml/2006/main" count="58" uniqueCount="45">
  <si>
    <t>AGÊNCIA DE FOMENTO DO ESTADO DE PERNAMBUCO S.A - AGEFEPE</t>
  </si>
  <si>
    <t>CNPJ(MF) nº 13.178.690/0001-15</t>
  </si>
  <si>
    <t>Rua Dom João Costa, 20 - Torreão, Recife/PE - CEP: 52.030-220</t>
  </si>
  <si>
    <t>(Valores expressos em milhares de reais)</t>
  </si>
  <si>
    <t>ATIVO</t>
  </si>
  <si>
    <t>Nota Explicativa</t>
  </si>
  <si>
    <t>PASSIVO</t>
  </si>
  <si>
    <t xml:space="preserve">CIRCULANTE </t>
  </si>
  <si>
    <t>Disponibilidades</t>
  </si>
  <si>
    <t>Obrigações por Empréstimos e Repasses</t>
  </si>
  <si>
    <t>Títulos e Valores Mobiliários</t>
  </si>
  <si>
    <t xml:space="preserve">     Obrigações por Repasses - BNDES</t>
  </si>
  <si>
    <t>Operações de Crédito</t>
  </si>
  <si>
    <t xml:space="preserve">     Obrigações por Repasses - FINEP</t>
  </si>
  <si>
    <t xml:space="preserve">     Empréstimos</t>
  </si>
  <si>
    <t xml:space="preserve">     Obrigações por Repasses - BNB</t>
  </si>
  <si>
    <t xml:space="preserve">     Financiamentos</t>
  </si>
  <si>
    <t xml:space="preserve">     Provisão para Operações de Créditos</t>
  </si>
  <si>
    <t>Outras Obrigações</t>
  </si>
  <si>
    <t>Outros Créditos</t>
  </si>
  <si>
    <t xml:space="preserve">     Fiscais e Previdenciárias</t>
  </si>
  <si>
    <t xml:space="preserve">NÃO CIRCULANTE </t>
  </si>
  <si>
    <t xml:space="preserve">     Diversas</t>
  </si>
  <si>
    <t>Realizável a Longo Prazo</t>
  </si>
  <si>
    <t>EXIGIVEL A LONGO PRAZO</t>
  </si>
  <si>
    <t>Permanente</t>
  </si>
  <si>
    <t>PATRIMÔNIO LÍQUIDO</t>
  </si>
  <si>
    <t>Capital</t>
  </si>
  <si>
    <t>Prejuízo acumulado</t>
  </si>
  <si>
    <t>TOTAL DO ATIVO</t>
  </si>
  <si>
    <t>TOTAL DO PASSIVO E PATRIMÔNIO LÍQUIDO</t>
  </si>
  <si>
    <t>As Notas Explicativas são parte integrante das Demonstrações Contábeis.</t>
  </si>
  <si>
    <t>DIRETOR PRESIDENTE</t>
  </si>
  <si>
    <t>Alberto Sabino Santiago Galvão</t>
  </si>
  <si>
    <t>Teótimo Soares de Almeida</t>
  </si>
  <si>
    <t>CONTADOR - CRC/PE Nº 022.654/O-0</t>
  </si>
  <si>
    <t>30.06.2017</t>
  </si>
  <si>
    <t>Severino Emanuel Mendes da Rocha</t>
  </si>
  <si>
    <t>DIRETOR ADMINISTRATIVO FINANCEIRO</t>
  </si>
  <si>
    <t>DIRETOR DE NEGOCIOS</t>
  </si>
  <si>
    <t>BALANÇO PATRIMONIAL LEVANTADO EM 30 DE JUNHO DE 2018 E 2017</t>
  </si>
  <si>
    <t>30.06.2018</t>
  </si>
  <si>
    <t>Eduardo Luiz Almeida de Queiroz</t>
  </si>
  <si>
    <t>Imobilizado de Uso - Liquido</t>
  </si>
  <si>
    <t>Intangível -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</si>
</sst>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General"/>
    <numFmt numFmtId="165" formatCode="_(* #,##0.00_);_(* \(#,##0.00\);_(* &quot;-&quot;??_);_(@_)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23" x14ac:knownFonts="1">
    <font>
      <sz val="1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7" fontId="2" fillId="0" borderId="0"/>
    <xf numFmtId="0" fontId="1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left" readingOrder="1"/>
      <protection locked="0"/>
    </xf>
    <xf numFmtId="49" fontId="9" fillId="2" borderId="1" xfId="0" applyNumberFormat="1" applyFont="1" applyFill="1" applyBorder="1" applyAlignment="1" applyProtection="1">
      <alignment horizontal="center" wrapText="1" readingOrder="1"/>
      <protection locked="0"/>
    </xf>
    <xf numFmtId="49" fontId="10" fillId="2" borderId="1" xfId="0" applyNumberFormat="1" applyFont="1" applyFill="1" applyBorder="1" applyAlignment="1" applyProtection="1">
      <alignment horizontal="center" readingOrder="1"/>
      <protection locked="0"/>
    </xf>
    <xf numFmtId="49" fontId="10" fillId="2" borderId="0" xfId="0" applyNumberFormat="1" applyFont="1" applyFill="1" applyBorder="1" applyAlignment="1" applyProtection="1">
      <alignment horizontal="right" readingOrder="1"/>
      <protection locked="0"/>
    </xf>
    <xf numFmtId="0" fontId="8" fillId="2" borderId="0" xfId="0" applyFont="1" applyFill="1" applyBorder="1" applyAlignment="1" applyProtection="1">
      <alignment readingOrder="1"/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/>
    <xf numFmtId="17" fontId="8" fillId="2" borderId="0" xfId="0" applyNumberFormat="1" applyFont="1" applyFill="1" applyBorder="1" applyAlignment="1" applyProtection="1">
      <alignment horizontal="right" wrapText="1" readingOrder="1"/>
      <protection locked="0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protection locked="0"/>
    </xf>
    <xf numFmtId="49" fontId="11" fillId="2" borderId="0" xfId="0" applyNumberFormat="1" applyFont="1" applyFill="1" applyBorder="1" applyAlignment="1" applyProtection="1">
      <alignment horizontal="right" readingOrder="1"/>
      <protection locked="0"/>
    </xf>
    <xf numFmtId="0" fontId="12" fillId="2" borderId="0" xfId="0" applyFont="1" applyFill="1" applyBorder="1" applyAlignment="1" applyProtection="1">
      <alignment readingOrder="1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 applyProtection="1">
      <alignment wrapText="1"/>
      <protection locked="0"/>
    </xf>
    <xf numFmtId="17" fontId="12" fillId="2" borderId="0" xfId="0" applyNumberFormat="1" applyFont="1" applyFill="1" applyBorder="1" applyAlignment="1" applyProtection="1">
      <alignment horizontal="right" wrapText="1" readingOrder="1"/>
      <protection locked="0"/>
    </xf>
    <xf numFmtId="0" fontId="11" fillId="2" borderId="0" xfId="0" applyFont="1" applyFill="1" applyAlignment="1">
      <alignment vertical="center"/>
    </xf>
    <xf numFmtId="0" fontId="13" fillId="2" borderId="0" xfId="0" applyFont="1" applyFill="1" applyBorder="1" applyAlignment="1" applyProtection="1">
      <alignment horizontal="left" vertical="center" readingOrder="1"/>
      <protection locked="0"/>
    </xf>
    <xf numFmtId="0" fontId="13" fillId="2" borderId="0" xfId="0" applyFont="1" applyFill="1" applyBorder="1" applyAlignment="1" applyProtection="1">
      <alignment horizontal="center" vertical="center" readingOrder="1"/>
      <protection locked="0"/>
    </xf>
    <xf numFmtId="166" fontId="9" fillId="2" borderId="1" xfId="1" applyNumberFormat="1" applyFont="1" applyFill="1" applyBorder="1" applyAlignment="1" applyProtection="1">
      <alignment horizontal="right" readingOrder="1"/>
      <protection locked="0"/>
    </xf>
    <xf numFmtId="166" fontId="14" fillId="2" borderId="0" xfId="1" applyNumberFormat="1" applyFont="1" applyFill="1" applyBorder="1" applyAlignment="1" applyProtection="1">
      <alignment vertical="center" readingOrder="1"/>
      <protection locked="0"/>
    </xf>
    <xf numFmtId="166" fontId="1" fillId="2" borderId="0" xfId="1" applyNumberFormat="1" applyFont="1" applyFill="1" applyBorder="1" applyAlignment="1">
      <alignment vertical="center"/>
    </xf>
    <xf numFmtId="166" fontId="13" fillId="2" borderId="0" xfId="1" applyNumberFormat="1" applyFont="1" applyFill="1" applyBorder="1" applyAlignment="1" applyProtection="1">
      <alignment vertical="center" wrapText="1" readingOrder="1"/>
      <protection locked="0"/>
    </xf>
    <xf numFmtId="166" fontId="9" fillId="2" borderId="0" xfId="1" applyNumberFormat="1" applyFont="1" applyFill="1" applyBorder="1" applyAlignment="1" applyProtection="1">
      <alignment horizontal="right" readingOrder="1"/>
      <protection locked="0"/>
    </xf>
    <xf numFmtId="3" fontId="11" fillId="2" borderId="0" xfId="1" applyNumberFormat="1" applyFont="1" applyFill="1" applyBorder="1" applyAlignment="1" applyProtection="1">
      <alignment horizontal="right" readingOrder="1"/>
      <protection locked="0"/>
    </xf>
    <xf numFmtId="0" fontId="7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center" readingOrder="1"/>
      <protection locked="0"/>
    </xf>
    <xf numFmtId="0" fontId="15" fillId="2" borderId="0" xfId="0" applyFont="1" applyFill="1" applyBorder="1" applyAlignment="1" applyProtection="1">
      <alignment horizontal="center" vertical="center" readingOrder="1"/>
      <protection locked="0"/>
    </xf>
    <xf numFmtId="166" fontId="16" fillId="0" borderId="0" xfId="1" applyNumberFormat="1" applyFont="1" applyFill="1" applyBorder="1" applyAlignment="1" applyProtection="1">
      <alignment horizontal="right" readingOrder="1"/>
      <protection locked="0"/>
    </xf>
    <xf numFmtId="166" fontId="16" fillId="2" borderId="0" xfId="1" applyNumberFormat="1" applyFont="1" applyFill="1" applyBorder="1" applyAlignment="1" applyProtection="1">
      <alignment horizontal="right" readingOrder="1"/>
      <protection locked="0"/>
    </xf>
    <xf numFmtId="166" fontId="15" fillId="2" borderId="0" xfId="1" applyNumberFormat="1" applyFont="1" applyFill="1" applyBorder="1" applyAlignment="1" applyProtection="1">
      <alignment vertical="center" readingOrder="1"/>
      <protection locked="0"/>
    </xf>
    <xf numFmtId="166" fontId="16" fillId="2" borderId="1" xfId="1" applyNumberFormat="1" applyFont="1" applyFill="1" applyBorder="1" applyAlignment="1" applyProtection="1">
      <alignment horizontal="right" readingOrder="1"/>
      <protection locked="0"/>
    </xf>
    <xf numFmtId="166" fontId="16" fillId="0" borderId="1" xfId="1" applyNumberFormat="1" applyFont="1" applyFill="1" applyBorder="1" applyAlignment="1" applyProtection="1">
      <alignment horizontal="right" readingOrder="1"/>
      <protection locked="0"/>
    </xf>
    <xf numFmtId="3" fontId="7" fillId="2" borderId="0" xfId="1" applyNumberFormat="1" applyFont="1" applyFill="1" applyBorder="1" applyAlignment="1" applyProtection="1">
      <alignment horizontal="right" readingOrder="1"/>
      <protection locked="0"/>
    </xf>
    <xf numFmtId="166" fontId="15" fillId="2" borderId="0" xfId="1" applyNumberFormat="1" applyFont="1" applyFill="1" applyBorder="1" applyAlignment="1" applyProtection="1">
      <alignment vertical="center" wrapText="1" readingOrder="1"/>
      <protection locked="0"/>
    </xf>
    <xf numFmtId="0" fontId="15" fillId="2" borderId="0" xfId="0" applyFont="1" applyFill="1" applyBorder="1" applyAlignment="1" applyProtection="1">
      <alignment horizontal="left" vertical="center" readingOrder="1"/>
      <protection locked="0"/>
    </xf>
    <xf numFmtId="166" fontId="9" fillId="0" borderId="0" xfId="1" applyNumberFormat="1" applyFont="1" applyFill="1" applyBorder="1" applyAlignment="1" applyProtection="1">
      <alignment horizontal="right" readingOrder="1"/>
      <protection locked="0"/>
    </xf>
    <xf numFmtId="0" fontId="13" fillId="2" borderId="0" xfId="0" applyFont="1" applyFill="1" applyBorder="1" applyAlignment="1" applyProtection="1">
      <alignment vertical="center" readingOrder="1"/>
      <protection locked="0"/>
    </xf>
    <xf numFmtId="166" fontId="9" fillId="0" borderId="1" xfId="1" applyNumberFormat="1" applyFont="1" applyFill="1" applyBorder="1" applyAlignment="1" applyProtection="1">
      <alignment horizontal="right" readingOrder="1"/>
      <protection locked="0"/>
    </xf>
    <xf numFmtId="3" fontId="12" fillId="2" borderId="0" xfId="1" applyNumberFormat="1" applyFont="1" applyFill="1" applyBorder="1" applyAlignment="1" applyProtection="1">
      <alignment vertical="center" readingOrder="1"/>
      <protection locked="0"/>
    </xf>
    <xf numFmtId="166" fontId="17" fillId="2" borderId="0" xfId="1" applyNumberFormat="1" applyFont="1" applyFill="1" applyBorder="1" applyAlignment="1" applyProtection="1">
      <alignment vertical="center" readingOrder="1"/>
      <protection locked="0"/>
    </xf>
    <xf numFmtId="0" fontId="13" fillId="2" borderId="0" xfId="0" applyFont="1" applyFill="1" applyBorder="1" applyAlignment="1" applyProtection="1">
      <alignment horizontal="left" vertical="center" wrapText="1" indent="1" readingOrder="1"/>
      <protection locked="0"/>
    </xf>
    <xf numFmtId="3" fontId="9" fillId="2" borderId="0" xfId="1" applyNumberFormat="1" applyFont="1" applyFill="1" applyBorder="1" applyAlignment="1" applyProtection="1">
      <alignment horizontal="right" readingOrder="1"/>
      <protection locked="0"/>
    </xf>
    <xf numFmtId="0" fontId="13" fillId="2" borderId="0" xfId="0" applyFont="1" applyFill="1" applyBorder="1" applyAlignment="1" applyProtection="1">
      <alignment horizontal="left" vertical="center" indent="3" readingOrder="1"/>
      <protection locked="0"/>
    </xf>
    <xf numFmtId="0" fontId="1" fillId="2" borderId="0" xfId="0" applyFont="1" applyFill="1" applyBorder="1" applyAlignment="1">
      <alignment vertical="center"/>
    </xf>
    <xf numFmtId="166" fontId="16" fillId="2" borderId="2" xfId="1" applyNumberFormat="1" applyFont="1" applyFill="1" applyBorder="1" applyAlignment="1" applyProtection="1">
      <alignment horizontal="right" readingOrder="1"/>
      <protection locked="0"/>
    </xf>
    <xf numFmtId="166" fontId="9" fillId="2" borderId="3" xfId="1" applyNumberFormat="1" applyFont="1" applyFill="1" applyBorder="1" applyAlignment="1" applyProtection="1">
      <alignment horizontal="right" readingOrder="1"/>
      <protection locked="0"/>
    </xf>
    <xf numFmtId="0" fontId="7" fillId="2" borderId="0" xfId="0" applyFont="1" applyFill="1" applyBorder="1" applyAlignment="1">
      <alignment vertical="center"/>
    </xf>
    <xf numFmtId="166" fontId="9" fillId="2" borderId="4" xfId="1" applyNumberFormat="1" applyFont="1" applyFill="1" applyBorder="1" applyAlignment="1" applyProtection="1">
      <alignment horizontal="right" readingOrder="1"/>
      <protection locked="0"/>
    </xf>
    <xf numFmtId="164" fontId="4" fillId="2" borderId="0" xfId="2" applyFont="1" applyFill="1" applyBorder="1" applyAlignment="1"/>
    <xf numFmtId="3" fontId="9" fillId="2" borderId="5" xfId="1" applyNumberFormat="1" applyFont="1" applyFill="1" applyBorder="1" applyAlignment="1" applyProtection="1">
      <alignment horizontal="right" vertical="center" readingOrder="1"/>
      <protection locked="0"/>
    </xf>
    <xf numFmtId="3" fontId="9" fillId="2" borderId="0" xfId="1" applyNumberFormat="1" applyFont="1" applyFill="1" applyBorder="1" applyAlignment="1" applyProtection="1">
      <alignment horizontal="right" vertical="center" readingOrder="1"/>
      <protection locked="0"/>
    </xf>
    <xf numFmtId="0" fontId="1" fillId="2" borderId="0" xfId="0" applyFont="1" applyFill="1" applyAlignment="1">
      <alignment vertical="center"/>
    </xf>
    <xf numFmtId="165" fontId="1" fillId="2" borderId="0" xfId="1" applyFont="1" applyFill="1" applyAlignment="1">
      <alignment horizontal="right"/>
    </xf>
    <xf numFmtId="0" fontId="1" fillId="2" borderId="0" xfId="0" applyFont="1" applyFill="1" applyBorder="1"/>
    <xf numFmtId="165" fontId="1" fillId="2" borderId="0" xfId="1" applyFont="1" applyFill="1" applyAlignment="1">
      <alignment vertical="center"/>
    </xf>
    <xf numFmtId="164" fontId="4" fillId="2" borderId="0" xfId="2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164" fontId="19" fillId="2" borderId="0" xfId="2" applyFont="1" applyFill="1" applyBorder="1" applyAlignment="1">
      <alignment horizontal="center" vertical="top"/>
    </xf>
    <xf numFmtId="165" fontId="1" fillId="2" borderId="0" xfId="1" applyFont="1" applyFill="1" applyBorder="1" applyAlignment="1">
      <alignment horizontal="right"/>
    </xf>
    <xf numFmtId="165" fontId="1" fillId="2" borderId="0" xfId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4" fontId="20" fillId="2" borderId="0" xfId="2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4" fontId="21" fillId="2" borderId="0" xfId="2" applyFont="1" applyFill="1" applyBorder="1" applyAlignment="1">
      <alignment horizontal="center" vertical="top"/>
    </xf>
    <xf numFmtId="166" fontId="1" fillId="2" borderId="0" xfId="1" applyNumberFormat="1" applyFont="1" applyFill="1" applyAlignment="1">
      <alignment horizontal="right"/>
    </xf>
    <xf numFmtId="0" fontId="1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49" fontId="22" fillId="2" borderId="0" xfId="0" applyNumberFormat="1" applyFont="1" applyFill="1" applyBorder="1" applyAlignment="1" applyProtection="1">
      <alignment horizontal="right" readingOrder="1"/>
      <protection locked="0"/>
    </xf>
    <xf numFmtId="0" fontId="7" fillId="2" borderId="0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 readingOrder="1"/>
      <protection locked="0"/>
    </xf>
    <xf numFmtId="0" fontId="1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4" fontId="3" fillId="2" borderId="0" xfId="2" applyFont="1" applyFill="1" applyBorder="1" applyAlignment="1">
      <alignment horizontal="center"/>
    </xf>
    <xf numFmtId="164" fontId="4" fillId="2" borderId="0" xfId="2" applyFont="1" applyFill="1" applyBorder="1" applyAlignment="1">
      <alignment horizontal="center"/>
    </xf>
    <xf numFmtId="164" fontId="4" fillId="0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</cellXfs>
  <cellStyles count="6">
    <cellStyle name="Excel Built-in Comma" xfId="3"/>
    <cellStyle name="Excel Built-in Normal" xfId="2"/>
    <cellStyle name="Normal" xfId="0" builtinId="0"/>
    <cellStyle name="Normal 2" xfId="4"/>
    <cellStyle name="Vírgula" xfId="1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76200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0"/>
  <sheetViews>
    <sheetView showGridLines="0" tabSelected="1" topLeftCell="A10" zoomScaleNormal="100" workbookViewId="0">
      <selection activeCell="N17" sqref="N17"/>
    </sheetView>
  </sheetViews>
  <sheetFormatPr defaultRowHeight="17.100000000000001" customHeight="1" x14ac:dyDescent="0.2"/>
  <cols>
    <col min="1" max="1" width="40" style="2" bestFit="1" customWidth="1"/>
    <col min="2" max="2" width="1.7109375" style="2" customWidth="1"/>
    <col min="3" max="3" width="12" style="2" bestFit="1" customWidth="1"/>
    <col min="4" max="4" width="1.7109375" style="2" customWidth="1"/>
    <col min="5" max="5" width="14.5703125" style="57" bestFit="1" customWidth="1"/>
    <col min="6" max="6" width="1.7109375" style="57" customWidth="1"/>
    <col min="7" max="7" width="12.28515625" style="2" customWidth="1"/>
    <col min="8" max="8" width="1" style="2" customWidth="1"/>
    <col min="9" max="9" width="2.85546875" style="2" customWidth="1"/>
    <col min="10" max="10" width="2" style="2" customWidth="1"/>
    <col min="11" max="11" width="31.7109375" style="2" customWidth="1"/>
    <col min="12" max="12" width="12" style="2" bestFit="1" customWidth="1"/>
    <col min="13" max="13" width="1.7109375" style="2" customWidth="1"/>
    <col min="14" max="14" width="13.5703125" style="59" bestFit="1" customWidth="1"/>
    <col min="15" max="15" width="1.7109375" style="59" customWidth="1"/>
    <col min="16" max="16" width="13.5703125" style="2" customWidth="1"/>
    <col min="17" max="17" width="0.85546875" style="1" customWidth="1"/>
    <col min="18" max="16384" width="9.140625" style="2"/>
  </cols>
  <sheetData>
    <row r="1" spans="1:17" ht="10.5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7.100000000000001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7.100000000000001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 x14ac:dyDescent="0.2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4" customFormat="1" ht="18" x14ac:dyDescent="0.2">
      <c r="A5" s="87" t="s">
        <v>40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73"/>
    </row>
    <row r="6" spans="1:17" s="3" customFormat="1" ht="18" x14ac:dyDescent="0.2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4"/>
    </row>
    <row r="7" spans="1:17" s="13" customFormat="1" ht="30" x14ac:dyDescent="0.25">
      <c r="A7" s="5" t="s">
        <v>4</v>
      </c>
      <c r="B7" s="5"/>
      <c r="C7" s="6" t="s">
        <v>5</v>
      </c>
      <c r="D7" s="5"/>
      <c r="E7" s="7" t="s">
        <v>41</v>
      </c>
      <c r="F7" s="8"/>
      <c r="G7" s="7" t="s">
        <v>36</v>
      </c>
      <c r="H7" s="9"/>
      <c r="I7" s="10"/>
      <c r="J7" s="11"/>
      <c r="K7" s="5" t="s">
        <v>6</v>
      </c>
      <c r="L7" s="6" t="s">
        <v>5</v>
      </c>
      <c r="M7" s="5"/>
      <c r="N7" s="7" t="s">
        <v>41</v>
      </c>
      <c r="O7" s="8"/>
      <c r="P7" s="7" t="s">
        <v>36</v>
      </c>
      <c r="Q7" s="12"/>
    </row>
    <row r="8" spans="1:17" s="20" customFormat="1" ht="12" customHeight="1" x14ac:dyDescent="0.2">
      <c r="A8" s="14"/>
      <c r="B8" s="14"/>
      <c r="C8" s="14"/>
      <c r="D8" s="14"/>
      <c r="E8" s="15"/>
      <c r="F8" s="15"/>
      <c r="G8" s="15"/>
      <c r="H8" s="16"/>
      <c r="I8" s="14"/>
      <c r="J8" s="17"/>
      <c r="K8" s="18"/>
      <c r="L8" s="14"/>
      <c r="M8" s="14"/>
      <c r="N8" s="15"/>
      <c r="O8" s="15"/>
      <c r="P8" s="75"/>
      <c r="Q8" s="19"/>
    </row>
    <row r="9" spans="1:17" s="29" customFormat="1" ht="15" x14ac:dyDescent="0.25">
      <c r="A9" s="21" t="s">
        <v>7</v>
      </c>
      <c r="B9" s="21"/>
      <c r="C9" s="22"/>
      <c r="D9" s="21"/>
      <c r="E9" s="23">
        <f>E10+E11+E12+E16</f>
        <v>21936.263329999998</v>
      </c>
      <c r="F9" s="23"/>
      <c r="G9" s="23">
        <f>G10+G11+G12+G16</f>
        <v>38160.808150000004</v>
      </c>
      <c r="H9" s="24"/>
      <c r="I9" s="25"/>
      <c r="J9" s="25"/>
      <c r="K9" s="26" t="s">
        <v>7</v>
      </c>
      <c r="L9" s="21"/>
      <c r="M9" s="23">
        <f>M10</f>
        <v>0</v>
      </c>
      <c r="N9" s="27">
        <f>N10+N15</f>
        <v>1283.10745</v>
      </c>
      <c r="O9" s="23">
        <f>O10</f>
        <v>0</v>
      </c>
      <c r="P9" s="27">
        <f>P10+P15</f>
        <v>1310.9688599999999</v>
      </c>
      <c r="Q9" s="28"/>
    </row>
    <row r="10" spans="1:17" s="29" customFormat="1" ht="15" x14ac:dyDescent="0.25">
      <c r="A10" s="30" t="s">
        <v>8</v>
      </c>
      <c r="B10" s="30"/>
      <c r="C10" s="31"/>
      <c r="D10" s="30"/>
      <c r="E10" s="32">
        <f>42913.04/1000</f>
        <v>42.913040000000002</v>
      </c>
      <c r="F10" s="33"/>
      <c r="G10" s="32">
        <f>72557.78/1000</f>
        <v>72.557779999999994</v>
      </c>
      <c r="H10" s="24"/>
      <c r="I10" s="25"/>
      <c r="J10" s="25"/>
      <c r="K10" s="34" t="s">
        <v>9</v>
      </c>
      <c r="L10" s="31">
        <v>7</v>
      </c>
      <c r="M10" s="30"/>
      <c r="N10" s="42">
        <f>SUM(N11:N13)</f>
        <v>434.52044999999998</v>
      </c>
      <c r="O10" s="27"/>
      <c r="P10" s="42">
        <f>SUM(P11:P13)</f>
        <v>474.30024000000003</v>
      </c>
      <c r="Q10" s="28"/>
    </row>
    <row r="11" spans="1:17" s="29" customFormat="1" ht="14.25" x14ac:dyDescent="0.2">
      <c r="A11" s="30" t="s">
        <v>10</v>
      </c>
      <c r="B11" s="30"/>
      <c r="C11" s="31">
        <v>3</v>
      </c>
      <c r="D11" s="30"/>
      <c r="E11" s="32">
        <f>16891591.18/1000</f>
        <v>16891.591179999999</v>
      </c>
      <c r="F11" s="33"/>
      <c r="G11" s="32">
        <f>34880091.79/1000</f>
        <v>34880.091789999999</v>
      </c>
      <c r="H11" s="24"/>
      <c r="I11" s="25"/>
      <c r="J11" s="25"/>
      <c r="K11" s="34" t="s">
        <v>11</v>
      </c>
      <c r="L11" s="31"/>
      <c r="M11" s="30"/>
      <c r="N11" s="32">
        <f>204031.68/1000</f>
        <v>204.03167999999999</v>
      </c>
      <c r="O11" s="33"/>
      <c r="P11" s="32">
        <f>150498.04/1000</f>
        <v>150.49804</v>
      </c>
      <c r="Q11" s="28"/>
    </row>
    <row r="12" spans="1:17" s="29" customFormat="1" ht="14.25" x14ac:dyDescent="0.2">
      <c r="A12" s="30" t="s">
        <v>12</v>
      </c>
      <c r="B12" s="30"/>
      <c r="C12" s="31">
        <v>4</v>
      </c>
      <c r="D12" s="30"/>
      <c r="E12" s="36">
        <f>SUM(E13:E15)</f>
        <v>4852.5413400000007</v>
      </c>
      <c r="F12" s="33"/>
      <c r="G12" s="36">
        <f>SUM(G13:G15)</f>
        <v>3072.13859</v>
      </c>
      <c r="H12" s="24"/>
      <c r="I12" s="25"/>
      <c r="J12" s="25"/>
      <c r="K12" s="34" t="s">
        <v>13</v>
      </c>
      <c r="L12" s="31"/>
      <c r="M12" s="30"/>
      <c r="N12" s="32">
        <f>155174.43/1000</f>
        <v>155.17443</v>
      </c>
      <c r="O12" s="33"/>
      <c r="P12" s="32">
        <f>146167.82/1000</f>
        <v>146.16782000000001</v>
      </c>
      <c r="Q12" s="37"/>
    </row>
    <row r="13" spans="1:17" s="29" customFormat="1" ht="14.25" x14ac:dyDescent="0.2">
      <c r="A13" s="30" t="s">
        <v>14</v>
      </c>
      <c r="B13" s="30"/>
      <c r="C13" s="31"/>
      <c r="D13" s="30"/>
      <c r="E13" s="32">
        <f>4766783.79/1000</f>
        <v>4766.7837900000004</v>
      </c>
      <c r="F13" s="33"/>
      <c r="G13" s="32">
        <f>3068448.41/1000</f>
        <v>3068.44841</v>
      </c>
      <c r="H13" s="24"/>
      <c r="I13" s="25"/>
      <c r="J13" s="25"/>
      <c r="K13" s="34" t="s">
        <v>15</v>
      </c>
      <c r="L13" s="31"/>
      <c r="M13" s="30"/>
      <c r="N13" s="32">
        <f>75314.34/1000</f>
        <v>75.314340000000001</v>
      </c>
      <c r="O13" s="33"/>
      <c r="P13" s="32">
        <f>177634.38/1000</f>
        <v>177.63437999999999</v>
      </c>
      <c r="Q13" s="37"/>
    </row>
    <row r="14" spans="1:17" s="29" customFormat="1" ht="14.25" x14ac:dyDescent="0.2">
      <c r="A14" s="30" t="s">
        <v>16</v>
      </c>
      <c r="B14" s="30"/>
      <c r="C14" s="31"/>
      <c r="D14" s="30"/>
      <c r="E14" s="32">
        <f>353784.37/1000</f>
        <v>353.78436999999997</v>
      </c>
      <c r="F14" s="33"/>
      <c r="G14" s="32">
        <f>456158.32/1000</f>
        <v>456.15832</v>
      </c>
      <c r="H14" s="24"/>
      <c r="I14" s="25"/>
      <c r="J14" s="25"/>
      <c r="K14" s="34"/>
      <c r="L14" s="31"/>
      <c r="M14" s="30"/>
      <c r="N14" s="32"/>
      <c r="O14" s="33"/>
      <c r="P14" s="32"/>
      <c r="Q14" s="37"/>
    </row>
    <row r="15" spans="1:17" s="29" customFormat="1" ht="15" x14ac:dyDescent="0.25">
      <c r="A15" s="30" t="s">
        <v>17</v>
      </c>
      <c r="B15" s="30"/>
      <c r="C15" s="31"/>
      <c r="D15" s="30"/>
      <c r="E15" s="32">
        <f>-268026.82/1000</f>
        <v>-268.02681999999999</v>
      </c>
      <c r="F15" s="33"/>
      <c r="G15" s="32">
        <f>-452468.14/1000</f>
        <v>-452.46814000000001</v>
      </c>
      <c r="H15" s="24"/>
      <c r="I15" s="25"/>
      <c r="J15" s="25"/>
      <c r="K15" s="38" t="s">
        <v>18</v>
      </c>
      <c r="L15" s="30"/>
      <c r="M15" s="35">
        <f>SUM(M16:M18)</f>
        <v>788.03908000000001</v>
      </c>
      <c r="N15" s="40">
        <f>N16+N17</f>
        <v>848.58699999999999</v>
      </c>
      <c r="O15" s="23">
        <f>SUM(O16:O18)</f>
        <v>1149</v>
      </c>
      <c r="P15" s="40">
        <f>P16+P17</f>
        <v>836.66862000000003</v>
      </c>
      <c r="Q15" s="37"/>
    </row>
    <row r="16" spans="1:17" s="29" customFormat="1" ht="14.25" x14ac:dyDescent="0.2">
      <c r="A16" s="39" t="s">
        <v>19</v>
      </c>
      <c r="B16" s="39"/>
      <c r="C16" s="31">
        <v>5</v>
      </c>
      <c r="D16" s="39"/>
      <c r="E16" s="32">
        <f>(122952.36+26265.41)/1000</f>
        <v>149.21777</v>
      </c>
      <c r="F16" s="33"/>
      <c r="G16" s="32">
        <f>136019.99/1000</f>
        <v>136.01998999999998</v>
      </c>
      <c r="H16" s="24"/>
      <c r="I16" s="25"/>
      <c r="J16" s="25"/>
      <c r="K16" s="38" t="s">
        <v>20</v>
      </c>
      <c r="L16" s="31">
        <v>8</v>
      </c>
      <c r="M16" s="33">
        <f>128039.08/1000</f>
        <v>128.03908000000001</v>
      </c>
      <c r="N16" s="32">
        <f>(36338.61+113248.39)/1000</f>
        <v>149.58699999999999</v>
      </c>
      <c r="O16" s="33">
        <v>155</v>
      </c>
      <c r="P16" s="32">
        <f>(113548.33+28149.52)/1000</f>
        <v>141.69785000000002</v>
      </c>
      <c r="Q16" s="37"/>
    </row>
    <row r="17" spans="1:17" s="29" customFormat="1" ht="15" x14ac:dyDescent="0.25">
      <c r="A17" s="30"/>
      <c r="B17" s="30"/>
      <c r="C17" s="31"/>
      <c r="D17" s="30"/>
      <c r="E17" s="40"/>
      <c r="F17" s="27"/>
      <c r="G17" s="40"/>
      <c r="H17" s="24"/>
      <c r="I17" s="25"/>
      <c r="J17" s="25"/>
      <c r="K17" s="38" t="s">
        <v>22</v>
      </c>
      <c r="L17" s="31">
        <v>9</v>
      </c>
      <c r="M17" s="33">
        <v>660</v>
      </c>
      <c r="N17" s="32">
        <v>699</v>
      </c>
      <c r="O17" s="33">
        <v>994</v>
      </c>
      <c r="P17" s="32">
        <f>694970.77/1000</f>
        <v>694.97077000000002</v>
      </c>
      <c r="Q17" s="28"/>
    </row>
    <row r="18" spans="1:17" s="29" customFormat="1" ht="15" x14ac:dyDescent="0.25">
      <c r="A18" s="41" t="s">
        <v>21</v>
      </c>
      <c r="B18" s="41"/>
      <c r="C18" s="22"/>
      <c r="D18" s="41"/>
      <c r="E18" s="42">
        <f>E20+E27</f>
        <v>33800.718970000002</v>
      </c>
      <c r="F18" s="27"/>
      <c r="G18" s="42">
        <f>G20+G27</f>
        <v>18830.197010000004</v>
      </c>
      <c r="H18" s="24"/>
      <c r="I18" s="25"/>
      <c r="J18" s="25"/>
      <c r="K18" s="38"/>
      <c r="L18" s="31"/>
      <c r="M18" s="33"/>
      <c r="N18" s="32"/>
      <c r="O18" s="33"/>
      <c r="P18" s="32"/>
      <c r="Q18" s="43"/>
    </row>
    <row r="19" spans="1:17" s="29" customFormat="1" ht="15" x14ac:dyDescent="0.25">
      <c r="A19" s="41"/>
      <c r="B19" s="41"/>
      <c r="C19" s="22"/>
      <c r="D19" s="41"/>
      <c r="E19" s="40"/>
      <c r="F19" s="27"/>
      <c r="G19" s="40"/>
      <c r="H19" s="24"/>
      <c r="I19" s="25"/>
      <c r="J19" s="25"/>
      <c r="K19" s="26" t="s">
        <v>24</v>
      </c>
      <c r="L19" s="31"/>
      <c r="M19" s="21"/>
      <c r="N19" s="42">
        <f>N20</f>
        <v>5857.2829400000001</v>
      </c>
      <c r="O19" s="27"/>
      <c r="P19" s="42">
        <f>P20</f>
        <v>8130.2592599999998</v>
      </c>
      <c r="Q19" s="43"/>
    </row>
    <row r="20" spans="1:17" s="29" customFormat="1" ht="15" x14ac:dyDescent="0.25">
      <c r="A20" s="41" t="s">
        <v>23</v>
      </c>
      <c r="B20" s="41"/>
      <c r="C20" s="22"/>
      <c r="D20" s="41"/>
      <c r="E20" s="40">
        <f>E21+E22</f>
        <v>33523.538919999999</v>
      </c>
      <c r="F20" s="27"/>
      <c r="G20" s="40">
        <f>G21+G22</f>
        <v>18510.999790000002</v>
      </c>
      <c r="H20" s="24"/>
      <c r="I20" s="25"/>
      <c r="J20" s="25"/>
      <c r="K20" s="34" t="s">
        <v>9</v>
      </c>
      <c r="L20" s="31">
        <v>7</v>
      </c>
      <c r="M20" s="30"/>
      <c r="N20" s="36">
        <f>SUM(N21:N23)</f>
        <v>5857.2829400000001</v>
      </c>
      <c r="O20" s="33"/>
      <c r="P20" s="36">
        <f>SUM(P21:P23)</f>
        <v>8130.2592599999998</v>
      </c>
      <c r="Q20" s="28"/>
    </row>
    <row r="21" spans="1:17" s="29" customFormat="1" ht="13.5" customHeight="1" x14ac:dyDescent="0.25">
      <c r="A21" s="30" t="s">
        <v>10</v>
      </c>
      <c r="B21" s="30"/>
      <c r="C21" s="31">
        <v>3</v>
      </c>
      <c r="D21" s="30"/>
      <c r="E21" s="32">
        <f>3837548.29/1000</f>
        <v>3837.5482900000002</v>
      </c>
      <c r="F21" s="27"/>
      <c r="G21" s="32">
        <f>3575644.03/1000</f>
        <v>3575.6440299999999</v>
      </c>
      <c r="H21" s="24"/>
      <c r="I21" s="25"/>
      <c r="J21" s="25"/>
      <c r="K21" s="34" t="s">
        <v>11</v>
      </c>
      <c r="L21" s="31"/>
      <c r="M21" s="30"/>
      <c r="N21" s="32">
        <f>3524610.7/1000</f>
        <v>3524.6107000000002</v>
      </c>
      <c r="O21" s="33"/>
      <c r="P21" s="32">
        <f>(3979538.2-130036.24)/1000</f>
        <v>3849.5019600000001</v>
      </c>
      <c r="Q21" s="28"/>
    </row>
    <row r="22" spans="1:17" s="29" customFormat="1" ht="14.25" x14ac:dyDescent="0.2">
      <c r="A22" s="30" t="s">
        <v>12</v>
      </c>
      <c r="B22" s="30"/>
      <c r="C22" s="31">
        <v>4</v>
      </c>
      <c r="D22" s="30"/>
      <c r="E22" s="36">
        <f>SUM(E23:E25)</f>
        <v>29685.99063</v>
      </c>
      <c r="F22" s="33"/>
      <c r="G22" s="36">
        <f>SUM(G23:G25)</f>
        <v>14935.35576</v>
      </c>
      <c r="H22" s="24"/>
      <c r="I22" s="25"/>
      <c r="J22" s="25"/>
      <c r="K22" s="34" t="s">
        <v>13</v>
      </c>
      <c r="L22" s="31"/>
      <c r="M22" s="30"/>
      <c r="N22" s="32">
        <f>1559208.27/1000</f>
        <v>1559.2082700000001</v>
      </c>
      <c r="O22" s="33"/>
      <c r="P22" s="32">
        <f>(3567363.95-107896.48)/1000</f>
        <v>3459.46747</v>
      </c>
      <c r="Q22" s="28"/>
    </row>
    <row r="23" spans="1:17" s="29" customFormat="1" ht="14.25" x14ac:dyDescent="0.2">
      <c r="A23" s="30" t="s">
        <v>14</v>
      </c>
      <c r="B23" s="30"/>
      <c r="C23" s="31"/>
      <c r="D23" s="30"/>
      <c r="E23" s="32">
        <f>24278645.83/1000</f>
        <v>24278.645829999998</v>
      </c>
      <c r="F23" s="33"/>
      <c r="G23" s="32">
        <f>7672646.07/1000</f>
        <v>7672.6460700000007</v>
      </c>
      <c r="H23" s="24"/>
      <c r="I23" s="25"/>
      <c r="J23" s="25"/>
      <c r="K23" s="34" t="s">
        <v>15</v>
      </c>
      <c r="L23" s="31"/>
      <c r="M23" s="30"/>
      <c r="N23" s="32">
        <f>773463.97/1000</f>
        <v>773.46397000000002</v>
      </c>
      <c r="O23" s="33"/>
      <c r="P23" s="32">
        <f>(888420.67-67130.84)/1000</f>
        <v>821.28983000000005</v>
      </c>
      <c r="Q23" s="43"/>
    </row>
    <row r="24" spans="1:17" s="29" customFormat="1" ht="14.25" x14ac:dyDescent="0.2">
      <c r="A24" s="30" t="s">
        <v>16</v>
      </c>
      <c r="B24" s="30"/>
      <c r="C24" s="31"/>
      <c r="D24" s="30"/>
      <c r="E24" s="32">
        <f>7129978.8/1000</f>
        <v>7129.9787999999999</v>
      </c>
      <c r="F24" s="33"/>
      <c r="G24" s="32">
        <f>9350885.58/1000</f>
        <v>9350.8855800000001</v>
      </c>
      <c r="H24" s="24"/>
      <c r="I24" s="25"/>
      <c r="J24" s="25"/>
      <c r="K24" s="34"/>
      <c r="L24" s="31"/>
      <c r="M24" s="30"/>
      <c r="N24" s="32"/>
      <c r="O24" s="33"/>
      <c r="P24" s="32"/>
      <c r="Q24" s="43"/>
    </row>
    <row r="25" spans="1:17" s="29" customFormat="1" ht="15" x14ac:dyDescent="0.25">
      <c r="A25" s="30" t="s">
        <v>17</v>
      </c>
      <c r="B25" s="30"/>
      <c r="C25" s="31"/>
      <c r="D25" s="30"/>
      <c r="E25" s="32">
        <f>-1722634/1000</f>
        <v>-1722.634</v>
      </c>
      <c r="F25" s="33"/>
      <c r="G25" s="32">
        <f>-2088175.89/1000</f>
        <v>-2088.17589</v>
      </c>
      <c r="H25" s="44"/>
      <c r="I25" s="25"/>
      <c r="J25" s="25"/>
      <c r="K25" s="26" t="s">
        <v>26</v>
      </c>
      <c r="L25" s="22"/>
      <c r="M25" s="41"/>
      <c r="N25" s="23">
        <f>SUM(N26:N27)</f>
        <v>48596.012840000003</v>
      </c>
      <c r="O25" s="27"/>
      <c r="P25" s="23">
        <f>SUM(P26:P27)</f>
        <v>47549.777040000001</v>
      </c>
      <c r="Q25" s="43"/>
    </row>
    <row r="26" spans="1:17" s="29" customFormat="1" ht="15" x14ac:dyDescent="0.2">
      <c r="A26" s="39"/>
      <c r="B26" s="47"/>
      <c r="C26" s="22"/>
      <c r="D26" s="47"/>
      <c r="E26" s="35"/>
      <c r="F26" s="33"/>
      <c r="G26" s="35"/>
      <c r="H26" s="44"/>
      <c r="I26" s="25"/>
      <c r="J26" s="25"/>
      <c r="K26" s="38" t="s">
        <v>27</v>
      </c>
      <c r="L26" s="31">
        <v>10</v>
      </c>
      <c r="M26" s="30"/>
      <c r="N26" s="33">
        <f>65410010/1000</f>
        <v>65410.01</v>
      </c>
      <c r="O26" s="33"/>
      <c r="P26" s="33">
        <f>65410010/1000</f>
        <v>65410.01</v>
      </c>
      <c r="Q26" s="43"/>
    </row>
    <row r="27" spans="1:17" s="29" customFormat="1" ht="15" x14ac:dyDescent="0.25">
      <c r="A27" s="41" t="s">
        <v>25</v>
      </c>
      <c r="B27" s="41"/>
      <c r="C27" s="31">
        <v>6</v>
      </c>
      <c r="D27" s="41"/>
      <c r="E27" s="27">
        <f>E28+E29</f>
        <v>277.18004999999999</v>
      </c>
      <c r="F27" s="27"/>
      <c r="G27" s="27">
        <f>G28+G29</f>
        <v>319.19722000000002</v>
      </c>
      <c r="H27" s="44"/>
      <c r="I27" s="25"/>
      <c r="J27" s="25"/>
      <c r="K27" s="38" t="s">
        <v>28</v>
      </c>
      <c r="L27" s="31"/>
      <c r="M27" s="30"/>
      <c r="N27" s="33">
        <f>-16813997.16/1000</f>
        <v>-16813.997159999999</v>
      </c>
      <c r="O27" s="33"/>
      <c r="P27" s="33">
        <f>(-19502079.78+1641846.82)/1000</f>
        <v>-17860.232960000001</v>
      </c>
      <c r="Q27" s="43"/>
    </row>
    <row r="28" spans="1:17" s="29" customFormat="1" ht="15" x14ac:dyDescent="0.25">
      <c r="A28" s="30" t="s">
        <v>43</v>
      </c>
      <c r="B28" s="30"/>
      <c r="C28" s="31"/>
      <c r="D28" s="30"/>
      <c r="E28" s="33">
        <f>166850.54/1000</f>
        <v>166.85054</v>
      </c>
      <c r="F28" s="33"/>
      <c r="G28" s="33">
        <f>206004.62/1000</f>
        <v>206.00461999999999</v>
      </c>
      <c r="H28" s="44"/>
      <c r="I28" s="25"/>
      <c r="J28" s="25"/>
      <c r="K28" s="26"/>
      <c r="L28" s="22"/>
      <c r="M28" s="41"/>
      <c r="N28" s="23"/>
      <c r="O28" s="27"/>
      <c r="P28" s="23"/>
      <c r="Q28" s="28"/>
    </row>
    <row r="29" spans="1:17" s="29" customFormat="1" ht="14.25" x14ac:dyDescent="0.2">
      <c r="A29" s="30" t="s">
        <v>44</v>
      </c>
      <c r="B29" s="30"/>
      <c r="C29" s="31"/>
      <c r="D29" s="30"/>
      <c r="E29" s="33">
        <f>110329.51/1000</f>
        <v>110.32951</v>
      </c>
      <c r="F29" s="33"/>
      <c r="G29" s="33">
        <f>113192.6/1000</f>
        <v>113.1926</v>
      </c>
      <c r="H29" s="44"/>
      <c r="I29" s="25"/>
      <c r="J29" s="25"/>
      <c r="K29" s="38"/>
      <c r="L29" s="31"/>
      <c r="M29" s="30"/>
      <c r="N29" s="33"/>
      <c r="O29" s="33"/>
      <c r="P29" s="33"/>
      <c r="Q29" s="48"/>
    </row>
    <row r="30" spans="1:17" s="29" customFormat="1" ht="14.25" x14ac:dyDescent="0.2">
      <c r="A30" s="30"/>
      <c r="B30" s="30"/>
      <c r="C30" s="31"/>
      <c r="D30" s="30"/>
      <c r="E30" s="49"/>
      <c r="F30" s="33"/>
      <c r="G30" s="49"/>
      <c r="H30" s="44"/>
      <c r="I30" s="25"/>
      <c r="J30" s="25"/>
      <c r="K30" s="38"/>
      <c r="L30" s="31"/>
      <c r="M30" s="30"/>
      <c r="N30" s="33"/>
      <c r="O30" s="33"/>
      <c r="P30" s="33"/>
      <c r="Q30" s="48"/>
    </row>
    <row r="31" spans="1:17" s="51" customFormat="1" ht="15.75" customHeight="1" thickBot="1" x14ac:dyDescent="0.3">
      <c r="A31" s="39"/>
      <c r="B31" s="39"/>
      <c r="C31" s="31"/>
      <c r="D31" s="39"/>
      <c r="E31" s="50"/>
      <c r="F31" s="33"/>
      <c r="G31" s="50"/>
      <c r="H31" s="24"/>
      <c r="I31" s="25"/>
      <c r="J31" s="25"/>
      <c r="K31" s="45"/>
      <c r="L31" s="31"/>
      <c r="M31" s="39"/>
      <c r="N31" s="46"/>
      <c r="O31" s="46"/>
      <c r="P31" s="46"/>
      <c r="Q31" s="48"/>
    </row>
    <row r="32" spans="1:17" s="29" customFormat="1" ht="16.5" thickTop="1" thickBot="1" x14ac:dyDescent="0.3">
      <c r="A32" s="41" t="s">
        <v>29</v>
      </c>
      <c r="B32" s="41"/>
      <c r="C32" s="22"/>
      <c r="D32" s="41"/>
      <c r="E32" s="52">
        <f>E18+E9</f>
        <v>55736.982300000003</v>
      </c>
      <c r="F32" s="27"/>
      <c r="G32" s="52">
        <f>G18+G9</f>
        <v>56991.005160000008</v>
      </c>
      <c r="H32" s="53"/>
      <c r="I32" s="25"/>
      <c r="J32" s="25"/>
      <c r="K32" s="81" t="s">
        <v>30</v>
      </c>
      <c r="L32" s="81"/>
      <c r="M32" s="81"/>
      <c r="N32" s="54">
        <f>N9+N19+N25+1</f>
        <v>55737.403230000004</v>
      </c>
      <c r="O32" s="55"/>
      <c r="P32" s="54">
        <f>P9+P19+P25</f>
        <v>56991.005160000001</v>
      </c>
      <c r="Q32" s="48"/>
    </row>
    <row r="33" spans="1:17" s="29" customFormat="1" ht="13.5" thickTop="1" x14ac:dyDescent="0.2">
      <c r="A33" s="82" t="s">
        <v>31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1"/>
    </row>
    <row r="34" spans="1:17" s="29" customFormat="1" ht="12.75" customHeight="1" x14ac:dyDescent="0.2">
      <c r="A34" s="56"/>
      <c r="B34" s="56"/>
      <c r="C34" s="56"/>
      <c r="D34" s="56"/>
      <c r="E34" s="57"/>
      <c r="F34" s="57"/>
      <c r="G34" s="56"/>
      <c r="H34" s="58"/>
      <c r="I34" s="48"/>
      <c r="J34" s="48"/>
      <c r="K34" s="56"/>
      <c r="L34" s="56"/>
      <c r="M34" s="56"/>
      <c r="N34" s="59"/>
      <c r="O34" s="59"/>
      <c r="P34" s="56"/>
      <c r="Q34" s="1"/>
    </row>
    <row r="35" spans="1:17" s="29" customFormat="1" ht="12.75" x14ac:dyDescent="0.2">
      <c r="A35" s="56"/>
      <c r="B35" s="56"/>
      <c r="C35" s="56"/>
      <c r="D35" s="56"/>
      <c r="E35" s="57"/>
      <c r="F35" s="57"/>
      <c r="G35" s="56"/>
      <c r="H35" s="60"/>
      <c r="I35" s="48"/>
      <c r="J35" s="48"/>
      <c r="K35" s="56"/>
      <c r="L35" s="56"/>
      <c r="M35" s="56"/>
      <c r="N35" s="59"/>
      <c r="O35" s="59"/>
      <c r="P35" s="56"/>
      <c r="Q35" s="1"/>
    </row>
    <row r="36" spans="1:17" s="29" customFormat="1" ht="12.75" x14ac:dyDescent="0.2">
      <c r="A36" s="56"/>
      <c r="B36" s="56"/>
      <c r="C36" s="56"/>
      <c r="D36" s="56"/>
      <c r="E36" s="57"/>
      <c r="F36" s="57"/>
      <c r="G36" s="56"/>
      <c r="H36" s="61"/>
      <c r="I36" s="48"/>
      <c r="J36" s="48"/>
      <c r="K36" s="56"/>
      <c r="L36" s="56"/>
      <c r="M36" s="56"/>
      <c r="N36" s="59"/>
      <c r="O36" s="59"/>
      <c r="P36" s="56"/>
      <c r="Q36" s="1"/>
    </row>
    <row r="37" spans="1:17" s="29" customFormat="1" ht="12.75" x14ac:dyDescent="0.2">
      <c r="A37" s="77" t="s">
        <v>37</v>
      </c>
      <c r="B37" s="77"/>
      <c r="C37" s="77"/>
      <c r="D37" s="77"/>
      <c r="E37" s="77"/>
      <c r="F37" s="77"/>
      <c r="G37" s="77"/>
      <c r="H37" s="2"/>
      <c r="I37" s="48"/>
      <c r="K37" s="78" t="s">
        <v>42</v>
      </c>
      <c r="L37" s="78"/>
      <c r="M37" s="78"/>
      <c r="N37" s="78"/>
      <c r="O37" s="78"/>
      <c r="P37" s="78"/>
      <c r="Q37" s="1"/>
    </row>
    <row r="38" spans="1:17" s="29" customFormat="1" ht="12.75" x14ac:dyDescent="0.2">
      <c r="A38" s="79" t="s">
        <v>32</v>
      </c>
      <c r="B38" s="79"/>
      <c r="C38" s="79"/>
      <c r="D38" s="79"/>
      <c r="E38" s="79"/>
      <c r="F38" s="79"/>
      <c r="G38" s="79"/>
      <c r="H38" s="62"/>
      <c r="I38" s="51"/>
      <c r="K38" s="80" t="s">
        <v>38</v>
      </c>
      <c r="L38" s="80"/>
      <c r="M38" s="80"/>
      <c r="N38" s="80"/>
      <c r="O38" s="80"/>
      <c r="P38" s="80"/>
      <c r="Q38" s="1"/>
    </row>
    <row r="39" spans="1:17" s="58" customFormat="1" ht="12.75" x14ac:dyDescent="0.2">
      <c r="A39" s="1"/>
      <c r="B39" s="1"/>
      <c r="C39" s="1"/>
      <c r="D39" s="1"/>
      <c r="E39" s="63"/>
      <c r="F39" s="63"/>
      <c r="G39" s="1"/>
      <c r="H39" s="1"/>
      <c r="I39" s="60"/>
      <c r="J39" s="60"/>
      <c r="K39" s="1"/>
      <c r="L39" s="1"/>
      <c r="M39" s="1"/>
      <c r="N39" s="64"/>
      <c r="O39" s="64"/>
      <c r="P39" s="1"/>
      <c r="Q39" s="1"/>
    </row>
    <row r="40" spans="1:17" s="29" customFormat="1" ht="15" x14ac:dyDescent="0.25">
      <c r="A40" s="65"/>
      <c r="B40" s="1"/>
      <c r="C40" s="1"/>
      <c r="D40" s="1"/>
      <c r="E40" s="63"/>
      <c r="F40" s="63"/>
      <c r="G40" s="1"/>
      <c r="H40" s="61"/>
      <c r="I40" s="66"/>
      <c r="J40" s="66"/>
      <c r="K40" s="1"/>
      <c r="L40" s="1"/>
      <c r="M40" s="1"/>
      <c r="N40" s="64"/>
      <c r="O40" s="64"/>
      <c r="P40" s="1"/>
      <c r="Q40" s="1"/>
    </row>
    <row r="41" spans="1:17" s="29" customFormat="1" ht="12.75" x14ac:dyDescent="0.2">
      <c r="A41" s="77" t="s">
        <v>33</v>
      </c>
      <c r="B41" s="77"/>
      <c r="C41" s="77"/>
      <c r="D41" s="77"/>
      <c r="E41" s="77"/>
      <c r="F41" s="77"/>
      <c r="G41" s="77"/>
      <c r="H41" s="2"/>
      <c r="I41" s="48"/>
      <c r="K41" s="78" t="s">
        <v>34</v>
      </c>
      <c r="L41" s="78"/>
      <c r="M41" s="78"/>
      <c r="N41" s="78"/>
      <c r="O41" s="78"/>
      <c r="P41" s="78"/>
      <c r="Q41" s="1"/>
    </row>
    <row r="42" spans="1:17" s="29" customFormat="1" ht="12.75" x14ac:dyDescent="0.2">
      <c r="A42" s="79" t="s">
        <v>39</v>
      </c>
      <c r="B42" s="79"/>
      <c r="C42" s="79"/>
      <c r="D42" s="79"/>
      <c r="E42" s="79"/>
      <c r="F42" s="79"/>
      <c r="G42" s="79"/>
      <c r="I42" s="51"/>
      <c r="K42" s="80" t="s">
        <v>35</v>
      </c>
      <c r="L42" s="80"/>
      <c r="M42" s="80"/>
      <c r="N42" s="80"/>
      <c r="O42" s="80"/>
      <c r="P42" s="80"/>
      <c r="Q42" s="1"/>
    </row>
    <row r="43" spans="1:17" s="29" customFormat="1" ht="12.75" x14ac:dyDescent="0.2">
      <c r="A43" s="67"/>
      <c r="B43" s="67"/>
      <c r="C43" s="67"/>
      <c r="D43" s="2"/>
      <c r="E43" s="2"/>
      <c r="F43" s="2"/>
      <c r="G43" s="2"/>
      <c r="H43" s="2"/>
      <c r="I43" s="48"/>
      <c r="J43" s="68"/>
      <c r="K43" s="68"/>
      <c r="L43" s="68"/>
      <c r="M43" s="2"/>
      <c r="N43" s="59"/>
      <c r="O43" s="59"/>
      <c r="P43" s="2"/>
      <c r="Q43" s="1"/>
    </row>
    <row r="44" spans="1:17" s="69" customFormat="1" ht="12.75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1"/>
    </row>
    <row r="45" spans="1:17" s="69" customFormat="1" ht="12.7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"/>
    </row>
    <row r="46" spans="1:17" s="69" customFormat="1" ht="11.1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"/>
    </row>
    <row r="47" spans="1:17" s="1" customFormat="1" ht="17.100000000000001" customHeight="1" x14ac:dyDescent="0.2">
      <c r="E47" s="63"/>
      <c r="F47" s="63"/>
      <c r="H47" s="2"/>
      <c r="I47" s="70"/>
      <c r="J47" s="70"/>
      <c r="N47" s="64"/>
      <c r="O47" s="64"/>
    </row>
    <row r="48" spans="1:17" s="1" customFormat="1" ht="17.100000000000001" customHeight="1" x14ac:dyDescent="0.2">
      <c r="A48" s="2"/>
      <c r="B48" s="2"/>
      <c r="C48" s="2"/>
      <c r="D48" s="2"/>
      <c r="E48" s="71"/>
      <c r="F48" s="57"/>
      <c r="G48" s="2"/>
      <c r="H48" s="2"/>
      <c r="I48" s="2"/>
      <c r="J48" s="2"/>
      <c r="K48" s="2"/>
      <c r="L48" s="2"/>
      <c r="M48" s="2"/>
      <c r="N48" s="59"/>
      <c r="O48" s="59"/>
      <c r="P48" s="2"/>
    </row>
    <row r="49" spans="1:16" s="1" customFormat="1" ht="17.100000000000001" customHeight="1" x14ac:dyDescent="0.2">
      <c r="A49" s="2"/>
      <c r="B49" s="2"/>
      <c r="C49" s="2"/>
      <c r="D49" s="2"/>
      <c r="E49" s="71"/>
      <c r="F49" s="57"/>
      <c r="G49" s="2"/>
      <c r="H49" s="2"/>
      <c r="I49" s="2"/>
      <c r="J49" s="2"/>
      <c r="K49" s="2"/>
      <c r="L49" s="2"/>
      <c r="M49" s="2"/>
      <c r="N49" s="59"/>
      <c r="O49" s="59"/>
      <c r="P49" s="2"/>
    </row>
    <row r="50" spans="1:16" s="1" customFormat="1" ht="17.100000000000001" customHeight="1" x14ac:dyDescent="0.2">
      <c r="A50" s="2"/>
      <c r="B50" s="2"/>
      <c r="C50" s="2"/>
      <c r="D50" s="2"/>
      <c r="E50" s="71"/>
      <c r="F50" s="57"/>
      <c r="G50" s="2"/>
      <c r="H50" s="2"/>
      <c r="I50" s="2"/>
      <c r="J50" s="2"/>
      <c r="K50" s="2"/>
      <c r="L50" s="2"/>
      <c r="M50" s="2"/>
      <c r="N50" s="59"/>
      <c r="O50" s="59"/>
      <c r="P50" s="2"/>
    </row>
  </sheetData>
  <mergeCells count="16">
    <mergeCell ref="A1:Q1"/>
    <mergeCell ref="A2:Q2"/>
    <mergeCell ref="A3:Q3"/>
    <mergeCell ref="A4:Q4"/>
    <mergeCell ref="A5:P5"/>
    <mergeCell ref="A6:P6"/>
    <mergeCell ref="A41:G41"/>
    <mergeCell ref="K41:P41"/>
    <mergeCell ref="A42:G42"/>
    <mergeCell ref="K42:P42"/>
    <mergeCell ref="K32:M32"/>
    <mergeCell ref="A33:P33"/>
    <mergeCell ref="A37:G37"/>
    <mergeCell ref="K37:P37"/>
    <mergeCell ref="A38:G38"/>
    <mergeCell ref="K38:P38"/>
  </mergeCells>
  <printOptions horizontalCentered="1"/>
  <pageMargins left="0.78740157480314965" right="0.78740157480314965" top="0.59055118110236227" bottom="0.19685039370078741" header="0" footer="0"/>
  <pageSetup paperSize="9" scale="79" orientation="landscape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2-1 Balanço</vt:lpstr>
      <vt:lpstr>'2-1 Balanço'!Area_de_impressao</vt:lpstr>
    </vt:vector>
  </TitlesOfParts>
  <Company>AGEFEPE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taciana.farias</cp:lastModifiedBy>
  <cp:lastPrinted>2018-08-13T19:04:21Z</cp:lastPrinted>
  <dcterms:created xsi:type="dcterms:W3CDTF">2016-08-12T19:20:55Z</dcterms:created>
  <dcterms:modified xsi:type="dcterms:W3CDTF">2018-10-22T19:08:05Z</dcterms:modified>
</cp:coreProperties>
</file>